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NW\EDM\SWN\"/>
    </mc:Choice>
  </mc:AlternateContent>
  <bookViews>
    <workbookView xWindow="-105" yWindow="-105" windowWidth="19425" windowHeight="10425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X21" i="7" l="1"/>
  <c r="X25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5" i="7"/>
  <c r="Q11" i="7"/>
  <c r="Q20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<sst xmlns="http://schemas.openxmlformats.org/spreadsheetml/2006/main" count="1401" uniqueCount="679">
  <si>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</si>
  <si>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</si>
  <si>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</si>
  <si>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</si>
  <si>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</si>
  <si>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</si>
  <si>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</si>
  <si>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</si>
  <si>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</si>
  <si>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</si>
  <si>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</si>
  <si>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</si>
  <si>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</si>
  <si>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</si>
  <si>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</si>
  <si>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</si>
  <si>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</si>
  <si>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</si>
  <si>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</si>
  <si>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</si>
  <si>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</si>
  <si>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</si>
  <si>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</si>
  <si>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</si>
  <si>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</si>
  <si>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</si>
  <si>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</si>
  <si>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</si>
  <si>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</si>
  <si>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</si>
  <si>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</si>
  <si>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</si>
  <si>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</si>
  <si>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</si>
  <si>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</si>
  <si>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</si>
  <si>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</si>
  <si>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</si>
  <si>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</si>
  <si>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</si>
  <si>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</si>
  <si>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</si>
  <si>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</si>
  <si>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</si>
  <si>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</si>
  <si>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</si>
  <si>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</si>
  <si>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</si>
  <si>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</si>
  <si>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</si>
  <si>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</si>
  <si>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</si>
  <si>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</si>
  <si>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</si>
  <si>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</si>
  <si>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</si>
  <si>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</si>
  <si>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</si>
  <si>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</si>
  <si>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</si>
  <si>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</si>
  <si>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</si>
  <si>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</si>
  <si>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</si>
  <si>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</si>
  <si>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</si>
  <si>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</si>
  <si>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</si>
  <si>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</si>
  <si>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</si>
  <si>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</si>
  <si>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</si>
  <si>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</si>
  <si>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</si>
  <si>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</si>
  <si>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</si>
  <si>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</si>
  <si>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</si>
  <si>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</si>
  <si>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</si>
  <si>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</si>
  <si>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</si>
  <si>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</si>
  <si>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</si>
  <si>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</si>
  <si>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</si>
  <si>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</si>
  <si>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</si>
  <si>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</si>
  <si>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</si>
  <si>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</si>
  <si>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</si>
  <si>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</si>
  <si>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</si>
  <si>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</si>
  <si>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</si>
  <si>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</si>
  <si>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</si>
  <si>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</si>
  <si>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</si>
  <si>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</si>
  <si>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</si>
  <si>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</si>
  <si>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</si>
  <si>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</si>
  <si>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</si>
  <si>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</si>
  <si>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</si>
  <si>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</si>
  <si>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</si>
  <si>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</si>
  <si>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</si>
  <si>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</si>
  <si>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</si>
  <si>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</si>
  <si>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</si>
  <si>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</si>
  <si>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</si>
  <si>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</si>
  <si>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</si>
  <si>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</si>
  <si>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</si>
  <si>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</si>
  <si>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</si>
  <si>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</si>
  <si>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</si>
  <si>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</si>
  <si>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</si>
  <si>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</si>
  <si>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</si>
  <si>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</si>
  <si>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</si>
  <si>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</si>
  <si>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</si>
  <si>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</si>
  <si>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</si>
  <si>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</si>
  <si>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</si>
  <si>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</si>
  <si>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</si>
  <si>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</si>
  <si>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</si>
  <si>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</si>
  <si>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</si>
  <si>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</si>
  <si>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</si>
  <si>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</si>
  <si>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</si>
  <si>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</si>
  <si>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</si>
  <si>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</si>
  <si>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</si>
  <si>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</si>
  <si>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</si>
  <si>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</si>
  <si>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</si>
  <si>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</si>
  <si>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</si>
  <si>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</si>
  <si>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</si>
  <si>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</si>
  <si>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</si>
  <si>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</si>
  <si>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</si>
  <si>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</si>
  <si>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</si>
  <si>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</si>
  <si>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</si>
  <si>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</si>
  <si>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</si>
  <si>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</si>
  <si>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</si>
  <si>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</si>
  <si>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</si>
  <si>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</si>
  <si>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</si>
  <si>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</si>
  <si>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</si>
  <si>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</si>
  <si>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</si>
  <si>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</si>
  <si>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</si>
  <si>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</si>
  <si>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</si>
  <si>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</si>
  <si>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</si>
  <si>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</si>
  <si>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</si>
  <si>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</si>
  <si>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</si>
  <si>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</si>
  <si>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</si>
  <si>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</si>
  <si>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</si>
  <si>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</si>
  <si>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</si>
  <si>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</si>
  <si>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</si>
  <si>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</si>
  <si>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</si>
  <si>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</si>
  <si>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</si>
  <si>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</si>
  <si>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</si>
  <si>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</si>
  <si>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</si>
  <si>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</si>
  <si>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</si>
  <si>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</si>
  <si>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</si>
  <si>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</si>
  <si>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</si>
  <si>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</si>
  <si>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</si>
  <si>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</si>
  <si>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</si>
  <si>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</si>
  <si>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</si>
  <si>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</si>
  <si>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</si>
  <si>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</si>
  <si>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</si>
  <si>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</si>
  <si>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</si>
  <si>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</si>
  <si>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</si>
  <si>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</si>
  <si>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</si>
  <si>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</si>
  <si>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</si>
  <si>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</si>
  <si>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</si>
  <si>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</si>
  <si>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</si>
  <si>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</si>
  <si>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</si>
  <si>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</si>
  <si>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</si>
  <si>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</si>
  <si>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</si>
  <si>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</si>
  <si>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</si>
  <si>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</si>
  <si>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</si>
  <si>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</si>
  <si>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</si>
  <si>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</si>
  <si>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</si>
  <si>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</si>
  <si>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</si>
  <si>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</si>
  <si>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</si>
  <si>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</si>
  <si>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</si>
  <si>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</si>
  <si>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</si>
  <si>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</si>
  <si>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</si>
  <si>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</si>
  <si>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</si>
  <si>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</si>
  <si>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</si>
  <si>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</si>
  <si>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</si>
  <si>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</si>
  <si>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</si>
  <si>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</si>
  <si>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</si>
  <si>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</si>
  <si>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</si>
  <si>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</si>
  <si>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</si>
  <si>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</si>
  <si>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</si>
  <si>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</si>
  <si>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</si>
  <si>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</si>
  <si>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</si>
  <si>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</si>
  <si>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</si>
  <si>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</si>
  <si>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</si>
  <si>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</si>
  <si>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</si>
  <si>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</si>
  <si>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</si>
  <si>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</si>
  <si>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</si>
  <si>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</si>
  <si>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</si>
  <si>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</si>
  <si>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</si>
  <si>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</si>
  <si>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</si>
  <si>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</si>
  <si>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</si>
  <si>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</si>
  <si>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</si>
  <si>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</si>
  <si>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</si>
  <si>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</si>
  <si>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</si>
  <si>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</si>
  <si>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</si>
  <si>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</si>
  <si>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</si>
  <si>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</si>
  <si>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</si>
  <si>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</si>
  <si>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</si>
  <si>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</si>
  <si>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</si>
  <si>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</si>
  <si>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</si>
  <si>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</si>
  <si>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</si>
  <si>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</si>
  <si>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</si>
  <si>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</si>
  <si>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</si>
  <si>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</si>
  <si>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</si>
  <si>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</si>
  <si>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</si>
  <si>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</si>
  <si>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</si>
  <si>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</si>
  <si>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</si>
  <si>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</si>
  <si>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</si>
  <si>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</si>
  <si>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</si>
  <si>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</si>
  <si>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</si>
  <si>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</si>
  <si>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</si>
  <si>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</si>
  <si>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</si>
  <si>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</si>
  <si>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</si>
  <si>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</si>
  <si>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</si>
  <si>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</si>
  <si>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</si>
  <si>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</si>
  <si>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</si>
  <si>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</si>
  <si>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</si>
  <si>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</si>
  <si>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</si>
  <si>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</si>
  <si>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</si>
  <si>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</si>
  <si>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</si>
  <si>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</si>
  <si>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</si>
  <si>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</si>
  <si>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</si>
  <si>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</si>
  <si>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</si>
  <si>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</si>
  <si>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</si>
  <si>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</si>
  <si>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</si>
  <si>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</si>
  <si>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</si>
  <si>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</si>
  <si>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</si>
  <si>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</si>
  <si>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</si>
  <si>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</si>
  <si>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</si>
  <si>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</si>
  <si>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</si>
  <si>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</si>
  <si>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</si>
  <si>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</si>
  <si>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</si>
  <si>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</si>
  <si>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</si>
  <si>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</si>
  <si>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</si>
  <si>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</si>
  <si>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</si>
  <si>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</si>
  <si>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</si>
  <si>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</si>
  <si>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</si>
  <si>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</si>
  <si>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</si>
  <si>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</si>
  <si>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</si>
  <si>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</si>
  <si>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</si>
  <si>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</si>
  <si>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</si>
  <si>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</si>
  <si>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</si>
  <si>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</si>
  <si>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</si>
  <si>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</si>
  <si>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</si>
  <si>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</si>
  <si>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</si>
  <si>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</si>
  <si>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</si>
  <si>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</si>
  <si>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</si>
  <si>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</si>
  <si>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</si>
  <si>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</si>
  <si>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</si>
  <si>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</si>
  <si>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</si>
  <si>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</si>
  <si>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</si>
  <si>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</si>
  <si>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</si>
  <si>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</si>
  <si>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</si>
  <si>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</si>
  <si>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</si>
  <si>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</si>
  <si>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</si>
  <si>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</si>
  <si>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</si>
  <si>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</si>
  <si>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</si>
  <si>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</si>
  <si>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</si>
  <si>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</si>
  <si>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</si>
  <si>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</si>
  <si>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</si>
  <si>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</si>
  <si>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</si>
  <si>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</si>
  <si>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</si>
  <si>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</si>
  <si>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</si>
  <si>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</si>
  <si>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</si>
  <si>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</si>
  <si>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</si>
  <si>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</si>
  <si>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</si>
  <si>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</si>
  <si>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</si>
  <si>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</si>
  <si>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</si>
  <si>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</si>
  <si>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</si>
  <si>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</si>
  <si>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</si>
  <si>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</si>
  <si>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</si>
  <si>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</si>
  <si>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</si>
  <si>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</si>
  <si>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</si>
  <si>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</si>
  <si>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</si>
  <si>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</si>
  <si>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</si>
  <si>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</si>
  <si>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</si>
  <si>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</si>
  <si>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</si>
  <si>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</si>
  <si>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</si>
  <si>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</si>
  <si>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</si>
  <si>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</si>
  <si>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</si>
  <si>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</si>
  <si>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</si>
  <si>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</si>
  <si>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</si>
  <si>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</si>
  <si>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</si>
  <si>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</si>
  <si>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</si>
  <si>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</si>
  <si>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</si>
  <si>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</si>
  <si>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</si>
  <si>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</si>
  <si>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</si>
  <si>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</si>
  <si>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</si>
  <si>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</si>
  <si>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</si>
  <si>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</si>
  <si>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</si>
  <si>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</si>
  <si>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</si>
  <si>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</si>
  <si>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</si>
  <si>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</si>
  <si>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</si>
  <si>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</si>
  <si>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</si>
  <si>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</si>
  <si>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</si>
  <si>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</si>
  <si>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</si>
  <si>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</si>
  <si>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</si>
  <si>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</si>
  <si>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</si>
  <si>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</si>
  <si>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</si>
  <si>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</si>
  <si>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</si>
  <si>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</si>
  <si>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</si>
  <si>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</si>
  <si>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</si>
  <si>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</si>
  <si>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</si>
  <si>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</si>
  <si>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</si>
  <si>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</si>
  <si>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</si>
  <si>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</si>
  <si>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</si>
  <si>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</si>
  <si>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</si>
  <si>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</si>
  <si>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</si>
  <si>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</si>
  <si>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</si>
  <si>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</si>
  <si>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</si>
  <si>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</si>
  <si>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</si>
  <si>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</si>
  <si>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</si>
  <si>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</si>
  <si>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</si>
  <si>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</si>
  <si>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</si>
  <si>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</si>
  <si>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</si>
  <si>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</si>
  <si>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</si>
  <si>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</si>
  <si>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</si>
  <si>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</si>
  <si>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</si>
  <si>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</si>
  <si>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</si>
  <si>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</si>
  <si>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</si>
  <si>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</si>
  <si>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</si>
  <si>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</si>
  <si>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</si>
  <si>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</si>
  <si>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</si>
  <si>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</si>
  <si>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</si>
  <si>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</si>
  <si>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</si>
  <si>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</si>
  <si>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</si>
  <si>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</si>
  <si>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</si>
  <si>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</si>
  <si>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</si>
  <si>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</si>
  <si>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</si>
  <si>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</si>
  <si>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</si>
  <si>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</si>
  <si>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</si>
  <si>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</si>
  <si>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</si>
  <si>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</si>
  <si>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</si>
  <si>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</si>
  <si>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</si>
  <si>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</si>
  <si>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</si>
  <si>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</si>
  <si>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</si>
  <si>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</si>
  <si>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</si>
  <si>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</si>
  <si>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</si>
  <si>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</si>
  <si>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</si>
  <si>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</si>
  <si>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</si>
  <si>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</si>
  <si>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</si>
  <si>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</si>
  <si>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</si>
  <si>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</si>
  <si>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</si>
  <si>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</si>
  <si>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</si>
  <si>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</si>
  <si>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</si>
  <si>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</si>
  <si>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</si>
  <si>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</si>
  <si>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</si>
  <si>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</si>
  <si>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</si>
  <si>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</si>
  <si>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</si>
  <si>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</si>
  <si>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</si>
  <si>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</si>
  <si>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</si>
  <si>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</si>
  <si>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</si>
  <si>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</si>
  <si>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</si>
  <si>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</si>
  <si>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</si>
  <si>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</si>
  <si>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</si>
  <si>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</si>
  <si>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</si>
  <si>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</si>
  <si>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</si>
  <si>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</si>
  <si>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</si>
  <si>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</si>
  <si>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</si>
  <si>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</si>
  <si>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</si>
  <si>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</si>
  <si>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</si>
  <si>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</si>
  <si>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</si>
  <si>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</si>
  <si>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</si>
  <si>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</si>
  <si>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</si>
  <si>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</si>
  <si>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</si>
  <si>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</si>
  <si>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</si>
  <si>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</si>
  <si>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</si>
  <si>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</si>
  <si>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</si>
  <si>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</si>
  <si>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</si>
  <si>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</si>
  <si>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</si>
  <si>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</si>
  <si>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</si>
  <si>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SWN Stadtwerke Northeim GmbH</t>
  </si>
  <si>
    <t>9870036400008</t>
  </si>
  <si>
    <t>Am Mühlenanger 1</t>
  </si>
  <si>
    <t>Northeim</t>
  </si>
  <si>
    <t>Team EDM</t>
  </si>
  <si>
    <t>netzwirtschaft@stadtwerke-northeim.de</t>
  </si>
  <si>
    <t>05551 / 6005 - 210</t>
  </si>
  <si>
    <t>Stadtwerke Northeim</t>
  </si>
  <si>
    <t>THE0NKL700364000</t>
  </si>
  <si>
    <t>Göttingen (10444)</t>
  </si>
  <si>
    <t>Göttingen</t>
  </si>
  <si>
    <t>DE_GMK04</t>
  </si>
  <si>
    <t>DE_GHA04</t>
  </si>
  <si>
    <t>DE_GKO04</t>
  </si>
  <si>
    <t>DE_GBD04</t>
  </si>
  <si>
    <t>DE_GGA04</t>
  </si>
  <si>
    <t>DE_GBH04</t>
  </si>
  <si>
    <t>DE_GWA04</t>
  </si>
  <si>
    <t>DE_GGB04</t>
  </si>
  <si>
    <t>DE_GBA04</t>
  </si>
  <si>
    <t>DE_GPD04</t>
  </si>
  <si>
    <t>DE_GMF04</t>
  </si>
  <si>
    <t>DE_GHD04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</si>
</sst>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0" zoomScale="95" zoomScaleNormal="95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44470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42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37154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">
        <v>663</v>
      </c>
      <c r="E28" s="38"/>
      <c r="F28" s="11"/>
      <c r="G28" s="2"/>
    </row>
    <row r="29" spans="1:15">
      <c r="B29" s="15"/>
      <c r="C29" s="22" t="s">
        <v>393</v>
      </c>
      <c r="D29" s="45" t="s">
        <v>663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abSelected="1" topLeftCell="A7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SWN Stadtwerke Northeim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Stadtwerke Northeim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9870036400008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616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652</v>
      </c>
      <c r="D13" s="42" t="s">
        <v>664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15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665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63" priority="21">
      <formula>IF(#REF!="Gaspool",1,0)</formula>
    </cfRule>
  </conditionalFormatting>
  <conditionalFormatting sqref="D46:D59">
    <cfRule type="expression" dxfId="62" priority="17">
      <formula>IF(CELL("Zeile",D46)&lt;$D$43+CELL("Zeile",$D$45),1,0)</formula>
    </cfRule>
  </conditionalFormatting>
  <conditionalFormatting sqref="D46:D59">
    <cfRule type="expression" dxfId="61" priority="16">
      <formula>IF(CELL(D46)&lt;$D$33+27,1,0)</formula>
    </cfRule>
  </conditionalFormatting>
  <conditionalFormatting sqref="D20">
    <cfRule type="expression" dxfId="60" priority="15">
      <formula>IF($D$19=$H$19,1,0)</formula>
    </cfRule>
  </conditionalFormatting>
  <conditionalFormatting sqref="D28">
    <cfRule type="expression" dxfId="59" priority="4">
      <formula>IF($D$15="synthetisch",1,0)</formula>
    </cfRule>
  </conditionalFormatting>
  <conditionalFormatting sqref="D25">
    <cfRule type="expression" dxfId="58" priority="2">
      <formula>IF(AND($D$24=$I$24,$D$23=$H$23),1,0)</formula>
    </cfRule>
  </conditionalFormatting>
  <conditionalFormatting sqref="D23:D25">
    <cfRule type="expression" dxfId="57" priority="5">
      <formula>IF($D$15="analytisch",1,0)</formula>
    </cfRule>
  </conditionalFormatting>
  <conditionalFormatting sqref="D24">
    <cfRule type="expression" dxfId="56" priority="3">
      <formula>IF($D$23="nein",1)</formula>
    </cfRule>
  </conditionalFormatting>
  <conditionalFormatting sqref="D45">
    <cfRule type="expression" dxfId="8" priority="1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13" zoomScaleNormal="100" workbookViewId="0">
      <selection activeCell="O15" sqref="O15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Stadtwerke Northeim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 t="str">
        <f>INDEX('SLP-Verfahren'!D45:D59,'SLP-Temp-Gebiet #01'!F10)</f>
        <v>Göttingen (10444)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515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502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157" t="s">
        <v>666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>
        <v>104440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504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654</v>
      </c>
      <c r="T26" s="210" t="s">
        <v>655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1</v>
      </c>
      <c r="G30" s="179">
        <f t="shared" si="2"/>
        <v>1</v>
      </c>
      <c r="H30" s="179">
        <f t="shared" si="2"/>
        <v>1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255</v>
      </c>
      <c r="E32" s="288">
        <f>1-SUMPRODUCT(F30:N30,F32:N32)</f>
        <v>0.5333</v>
      </c>
      <c r="F32" s="288">
        <f>ROUND(F33/$D$33,4)</f>
        <v>0.26669999999999999</v>
      </c>
      <c r="G32" s="288">
        <f t="shared" ref="G32:N32" si="3">ROUND(G33/$D$33,4)</f>
        <v>0.1333</v>
      </c>
      <c r="H32" s="288">
        <f t="shared" si="3"/>
        <v>6.6699999999999995E-2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1.875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142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537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515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MeteoGroup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Göttingen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>
        <f>E25</f>
        <v>104440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Sonstiges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4</v>
      </c>
    </row>
    <row r="64" spans="2:28" ht="15" customHeight="1">
      <c r="E64" s="179">
        <f>IF(E65&gt;$F$63,0,1)</f>
        <v>1</v>
      </c>
      <c r="F64" s="179">
        <f t="shared" ref="F64:N64" si="11">IF(F65&gt;$F$63,0,1)</f>
        <v>1</v>
      </c>
      <c r="G64" s="179">
        <f t="shared" si="11"/>
        <v>1</v>
      </c>
      <c r="H64" s="179">
        <f t="shared" si="11"/>
        <v>1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525</v>
      </c>
      <c r="D66" s="187" t="s">
        <v>255</v>
      </c>
      <c r="E66" s="288">
        <f>1-SUMPRODUCT(F64:N64,F66:N66)</f>
        <v>0.5333</v>
      </c>
      <c r="F66" s="288">
        <f>ROUND(F67/$D$67,4)</f>
        <v>0.26669999999999999</v>
      </c>
      <c r="G66" s="288">
        <f t="shared" ref="G66:N66" si="12">ROUND(G67/$D$67,4)</f>
        <v>0.1333</v>
      </c>
      <c r="H66" s="288">
        <f t="shared" si="12"/>
        <v>6.6699999999999995E-2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1.875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537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4" t="s">
        <v>579</v>
      </c>
      <c r="D73" s="354"/>
      <c r="E73" s="354"/>
      <c r="F73" s="35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5" priority="28">
      <formula>IF(E$20&lt;=$F$18,1,0)</formula>
    </cfRule>
  </conditionalFormatting>
  <conditionalFormatting sqref="E33:N37">
    <cfRule type="expression" dxfId="54" priority="27">
      <formula>IF(E$31&lt;=$F$29,1,0)</formula>
    </cfRule>
  </conditionalFormatting>
  <conditionalFormatting sqref="E26:N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7:N60">
    <cfRule type="expression" dxfId="51" priority="22">
      <formula>IF(E$55&lt;=$F$53,1,0)</formula>
    </cfRule>
  </conditionalFormatting>
  <conditionalFormatting sqref="E61:N61">
    <cfRule type="expression" dxfId="50" priority="21">
      <formula>IF(E$55&lt;=$F$53,1,0)</formula>
    </cfRule>
  </conditionalFormatting>
  <conditionalFormatting sqref="E67:N69">
    <cfRule type="expression" dxfId="49" priority="15">
      <formula>IF(E$65&lt;=$F$63,1,0)</formula>
    </cfRule>
  </conditionalFormatting>
  <conditionalFormatting sqref="E66:N69 E71:N71">
    <cfRule type="expression" dxfId="48" priority="13">
      <formula>IF(E$65&gt;$F$63,1,0)</formula>
    </cfRule>
  </conditionalFormatting>
  <conditionalFormatting sqref="E57:N61">
    <cfRule type="expression" dxfId="47" priority="12">
      <formula>IF(E$55&gt;$F$53,1,0)</formula>
    </cfRule>
  </conditionalFormatting>
  <conditionalFormatting sqref="E21:N26">
    <cfRule type="expression" dxfId="46" priority="11">
      <formula>IF(E$20&gt;$F$18,1,0)</formula>
    </cfRule>
  </conditionalFormatting>
  <conditionalFormatting sqref="E33:N37">
    <cfRule type="expression" dxfId="45" priority="10">
      <formula>IF(E$31&gt;$F$29,1,0)</formula>
    </cfRule>
  </conditionalFormatting>
  <conditionalFormatting sqref="H11 H8:H9">
    <cfRule type="expression" dxfId="44" priority="9">
      <formula>IF($F$9=1,1,0)</formula>
    </cfRule>
  </conditionalFormatting>
  <conditionalFormatting sqref="E56:N56">
    <cfRule type="expression" dxfId="43" priority="8">
      <formula>IF(E$55&gt;$F$53,1,0)</formula>
    </cfRule>
  </conditionalFormatting>
  <conditionalFormatting sqref="E32:N32">
    <cfRule type="expression" dxfId="42" priority="7">
      <formula>IF(E$31&gt;$F$29,1,0)</formula>
    </cfRule>
  </conditionalFormatting>
  <conditionalFormatting sqref="E71:N71">
    <cfRule type="expression" dxfId="41" priority="6">
      <formula>IF(E$65&lt;=$F$63,1,0)</formula>
    </cfRule>
  </conditionalFormatting>
  <conditionalFormatting sqref="H10">
    <cfRule type="expression" dxfId="40" priority="5">
      <formula>IF($F$9=1,1,0)</formula>
    </cfRule>
  </conditionalFormatting>
  <conditionalFormatting sqref="E70:N70">
    <cfRule type="expression" dxfId="39" priority="2">
      <formula>IF(E$65&lt;=$F$63,1,0)</formula>
    </cfRule>
  </conditionalFormatting>
  <conditionalFormatting sqref="E70:N70">
    <cfRule type="expression" dxfId="38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Stadtwerke Northeim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2" t="s">
        <v>583</v>
      </c>
      <c r="D13" s="352"/>
      <c r="E13" s="352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3" t="s">
        <v>445</v>
      </c>
      <c r="D14" s="353"/>
      <c r="E14" s="90" t="s">
        <v>446</v>
      </c>
      <c r="F14" s="267" t="s">
        <v>85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3" t="s">
        <v>385</v>
      </c>
      <c r="D15" s="353"/>
      <c r="E15" s="90" t="s">
        <v>446</v>
      </c>
      <c r="F15" s="267" t="s">
        <v>71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524</v>
      </c>
      <c r="D21" s="154" t="s">
        <v>515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525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142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537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524</v>
      </c>
      <c r="D55" s="154" t="s">
        <v>515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525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537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4" t="s">
        <v>579</v>
      </c>
      <c r="D72" s="354"/>
      <c r="E72" s="354"/>
      <c r="F72" s="35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N31" sqref="N31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SWN Stadtwerke Northeim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Stadtwerke Northeim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9870036400008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44470</v>
      </c>
      <c r="E8" s="131"/>
      <c r="F8" s="131"/>
      <c r="H8" s="129" t="s">
        <v>493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.75" thickBot="1">
      <c r="B11" s="140" t="s">
        <v>494</v>
      </c>
      <c r="C11" s="141" t="s">
        <v>509</v>
      </c>
      <c r="D11" s="305" t="s">
        <v>248</v>
      </c>
      <c r="E11" s="165"/>
      <c r="F11" s="307" t="e">
        <f>VLOOKUP($E11,'BDEW-Standard'!$B$3:$M$158,F$9,0)</f>
        <v>#N/A</v>
      </c>
      <c r="H11" s="168" t="e">
        <f>ROUND(VLOOKUP($E11,'BDEW-Standard'!$B$3:$M$158,H$9,0),7)</f>
        <v>#N/A</v>
      </c>
      <c r="I11" s="168" t="e">
        <f>ROUND(VLOOKUP($E11,'BDEW-Standard'!$B$3:$M$158,I$9,0),7)</f>
        <v>#N/A</v>
      </c>
      <c r="J11" s="168" t="e">
        <f>ROUND(VLOOKUP($E11,'BDEW-Standard'!$B$3:$M$158,J$9,0),7)</f>
        <v>#N/A</v>
      </c>
      <c r="K11" s="168" t="e">
        <f>ROUND(VLOOKUP($E11,'BDEW-Standard'!$B$3:$M$158,K$9,0),7)</f>
        <v>#N/A</v>
      </c>
      <c r="L11" s="215" t="e">
        <f>ROUND(VLOOKUP($E11,'BDEW-Standard'!$B$3:$M$158,L$9,0),1)</f>
        <v>#N/A</v>
      </c>
      <c r="M11" s="168" t="e">
        <f>ROUND(VLOOKUP($E11,'BDEW-Standard'!$B$3:$M$158,M$9,0),7)</f>
        <v>#N/A</v>
      </c>
      <c r="N11" s="168" t="e">
        <f>ROUND(VLOOKUP($E11,'BDEW-Standard'!$B$3:$M$158,N$9,0),7)</f>
        <v>#N/A</v>
      </c>
      <c r="O11" s="168" t="e">
        <f>ROUND(VLOOKUP($E11,'BDEW-Standard'!$B$3:$M$158,O$9,0),7)</f>
        <v>#N/A</v>
      </c>
      <c r="P11" s="168" t="e">
        <f>ROUND(VLOOKUP($E11,'BDEW-Standard'!$B$3:$M$158,P$9,0),7)</f>
        <v>#N/A</v>
      </c>
      <c r="Q11" s="214" t="e">
        <f>($H11/(1+($I11/($Q$9-$L11))^$J11)+$K11)+MAX($M11*$Q$9+$N11,$O11*$Q$9+$P11)</f>
        <v>#N/A</v>
      </c>
      <c r="R11" s="169" t="e">
        <f>ROUND(VLOOKUP(MID($E11,4,3),'Wochentag F(WT)'!$B$7:$J$22,R$9,0),4)</f>
        <v>#N/A</v>
      </c>
      <c r="S11" s="169" t="e">
        <f>ROUND(VLOOKUP(MID($E11,4,3),'Wochentag F(WT)'!$B$7:$J$22,S$9,0),4)</f>
        <v>#N/A</v>
      </c>
      <c r="T11" s="169" t="e">
        <f>ROUND(VLOOKUP(MID($E11,4,3),'Wochentag F(WT)'!$B$7:$J$22,T$9,0),4)</f>
        <v>#N/A</v>
      </c>
      <c r="U11" s="169" t="e">
        <f>ROUND(VLOOKUP(MID($E11,4,3),'Wochentag F(WT)'!$B$7:$J$22,U$9,0),4)</f>
        <v>#N/A</v>
      </c>
      <c r="V11" s="169" t="e">
        <f>ROUND(VLOOKUP(MID($E11,4,3),'Wochentag F(WT)'!$B$7:$J$22,V$9,0),4)</f>
        <v>#N/A</v>
      </c>
      <c r="W11" s="169" t="e">
        <f>ROUND(VLOOKUP(MID($E11,4,3),'Wochentag F(WT)'!$B$7:$J$22,W$9,0),4)</f>
        <v>#N/A</v>
      </c>
      <c r="X11" s="170" t="e">
        <f>7-SUM(R11:W11)</f>
        <v>#N/A</v>
      </c>
      <c r="Y11" s="303">
        <v>365.12299999999999</v>
      </c>
    </row>
    <row r="12" spans="2:26">
      <c r="B12" s="142">
        <v>1</v>
      </c>
      <c r="C12" s="143" t="str">
        <f t="shared" ref="C12:C41" si="0">$D$6</f>
        <v>Stadtwerke Northeim</v>
      </c>
      <c r="D12" s="63" t="s">
        <v>248</v>
      </c>
      <c r="E12" s="166" t="s">
        <v>24</v>
      </c>
      <c r="F12" s="308" t="s">
        <v>288</v>
      </c>
      <c r="H12" s="279">
        <v>3.1935978</v>
      </c>
      <c r="I12" s="279">
        <v>-37.414247799999998</v>
      </c>
      <c r="J12" s="279">
        <v>6.1824021</v>
      </c>
      <c r="K12" s="279">
        <v>8.1086000000000005E-2</v>
      </c>
      <c r="L12" s="280">
        <v>40</v>
      </c>
      <c r="M12" s="279">
        <v>0</v>
      </c>
      <c r="N12" s="279">
        <v>0</v>
      </c>
      <c r="O12" s="279">
        <v>0</v>
      </c>
      <c r="P12" s="279">
        <v>0</v>
      </c>
      <c r="Q12" s="281">
        <v>0.96123311186795624</v>
      </c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Stadtwerke Northeim</v>
      </c>
      <c r="D13" s="63" t="s">
        <v>248</v>
      </c>
      <c r="E13" s="166" t="s">
        <v>32</v>
      </c>
      <c r="F13" s="308" t="s">
        <v>296</v>
      </c>
      <c r="H13" s="279">
        <v>2.529738</v>
      </c>
      <c r="I13" s="279">
        <v>-35.0300145</v>
      </c>
      <c r="J13" s="279">
        <v>6.2051109000000002</v>
      </c>
      <c r="K13" s="279">
        <v>0.1058318</v>
      </c>
      <c r="L13" s="280">
        <v>40</v>
      </c>
      <c r="M13" s="279">
        <v>0</v>
      </c>
      <c r="N13" s="279">
        <v>0</v>
      </c>
      <c r="O13" s="279">
        <v>0</v>
      </c>
      <c r="P13" s="279">
        <v>0</v>
      </c>
      <c r="Q13" s="281">
        <v>1.0247084991768873</v>
      </c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Stadtwerke Northeim</v>
      </c>
      <c r="D14" s="63" t="s">
        <v>248</v>
      </c>
      <c r="E14" s="166" t="s">
        <v>4</v>
      </c>
      <c r="F14" s="308" t="str">
        <f>VLOOKUP($E14,'BDEW-Standard'!$B$3:$M$94,F$9,0)</f>
        <v>HK3</v>
      </c>
      <c r="H14" s="279">
        <f>ROUND(VLOOKUP($E14,'BDEW-Standard'!$B$3:$M$94,H$9,0),7)</f>
        <v>0.40409319999999999</v>
      </c>
      <c r="I14" s="279">
        <f>ROUND(VLOOKUP($E14,'BDEW-Standard'!$B$3:$M$94,I$9,0),7)</f>
        <v>-24.439296800000001</v>
      </c>
      <c r="J14" s="279">
        <f>ROUND(VLOOKUP($E14,'BDEW-Standard'!$B$3:$M$94,J$9,0),7)</f>
        <v>6.5718174999999999</v>
      </c>
      <c r="K14" s="279">
        <f>ROUND(VLOOKUP($E14,'BDEW-Standard'!$B$3:$M$94,K$9,0),7)</f>
        <v>0.71077100000000004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ref="Q12:Q26" si="1">($H14/(1+($I14/($Q$9-$L14))^$J14)+$K14)+MAX($M14*$Q$9+$N14,$O14*$Q$9+$P14)</f>
        <v>1.0561214000512988</v>
      </c>
      <c r="R14" s="282">
        <f>ROUND(VLOOKUP(MID($E14,4,3),'Wochentag F(WT)'!$B$7:$J$22,R$9,0),4)</f>
        <v>1</v>
      </c>
      <c r="S14" s="282">
        <f>ROUND(VLOOKUP(MID($E14,4,3),'Wochentag F(WT)'!$B$7:$J$22,S$9,0),4)</f>
        <v>1</v>
      </c>
      <c r="T14" s="282">
        <f>ROUND(VLOOKUP(MID($E14,4,3),'Wochentag F(WT)'!$B$7:$J$22,T$9,0),4)</f>
        <v>1</v>
      </c>
      <c r="U14" s="282">
        <f>ROUND(VLOOKUP(MID($E14,4,3),'Wochentag F(WT)'!$B$7:$J$22,U$9,0),4)</f>
        <v>1</v>
      </c>
      <c r="V14" s="282">
        <f>ROUND(VLOOKUP(MID($E14,4,3),'Wochentag F(WT)'!$B$7:$J$22,V$9,0),4)</f>
        <v>1</v>
      </c>
      <c r="W14" s="282">
        <f>ROUND(VLOOKUP(MID($E14,4,3),'Wochentag F(WT)'!$B$7:$J$22,W$9,0),4)</f>
        <v>1</v>
      </c>
      <c r="X14" s="283">
        <f t="shared" ref="X13:X26" si="2">7-SUM(R14:W14)</f>
        <v>1</v>
      </c>
      <c r="Y14" s="304"/>
      <c r="Z14" s="213"/>
    </row>
    <row r="15" spans="2:26" s="144" customFormat="1">
      <c r="B15" s="145">
        <v>4</v>
      </c>
      <c r="C15" s="146" t="str">
        <f t="shared" si="0"/>
        <v>Stadtwerke Northeim</v>
      </c>
      <c r="D15" s="63" t="s">
        <v>248</v>
      </c>
      <c r="E15" s="166" t="s">
        <v>667</v>
      </c>
      <c r="F15" s="308" t="str">
        <f>VLOOKUP($E15,'BDEW-Standard'!$B$3:$M$94,F$9,0)</f>
        <v>MK4</v>
      </c>
      <c r="H15" s="279">
        <f>ROUND(VLOOKUP($E15,'BDEW-Standard'!$B$3:$M$94,H$9,0),7)</f>
        <v>3.1177248</v>
      </c>
      <c r="I15" s="279">
        <f>ROUND(VLOOKUP($E15,'BDEW-Standard'!$B$3:$M$94,I$9,0),7)</f>
        <v>-35.871506199999999</v>
      </c>
      <c r="J15" s="279">
        <f>ROUND(VLOOKUP($E15,'BDEW-Standard'!$B$3:$M$94,J$9,0),7)</f>
        <v>7.5186828999999999</v>
      </c>
      <c r="K15" s="279">
        <f>ROUND(VLOOKUP($E15,'BDEW-Standard'!$B$3:$M$94,K$9,0),7)</f>
        <v>3.4330100000000002E-2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0.9622064996731321</v>
      </c>
      <c r="R15" s="282">
        <f>ROUND(VLOOKUP(MID($E15,4,3),'Wochentag F(WT)'!$B$7:$J$22,R$9,0),4)</f>
        <v>1.0699000000000001</v>
      </c>
      <c r="S15" s="282">
        <f>ROUND(VLOOKUP(MID($E15,4,3),'Wochentag F(WT)'!$B$7:$J$22,S$9,0),4)</f>
        <v>1.0365</v>
      </c>
      <c r="T15" s="282">
        <f>ROUND(VLOOKUP(MID($E15,4,3),'Wochentag F(WT)'!$B$7:$J$22,T$9,0),4)</f>
        <v>0.99329999999999996</v>
      </c>
      <c r="U15" s="282">
        <f>ROUND(VLOOKUP(MID($E15,4,3),'Wochentag F(WT)'!$B$7:$J$22,U$9,0),4)</f>
        <v>0.99480000000000002</v>
      </c>
      <c r="V15" s="282">
        <f>ROUND(VLOOKUP(MID($E15,4,3),'Wochentag F(WT)'!$B$7:$J$22,V$9,0),4)</f>
        <v>1.0659000000000001</v>
      </c>
      <c r="W15" s="282">
        <f>ROUND(VLOOKUP(MID($E15,4,3),'Wochentag F(WT)'!$B$7:$J$22,W$9,0),4)</f>
        <v>0.93620000000000003</v>
      </c>
      <c r="X15" s="283">
        <f t="shared" si="2"/>
        <v>0.90339999999999954</v>
      </c>
      <c r="Y15" s="304"/>
      <c r="Z15" s="213"/>
    </row>
    <row r="16" spans="2:26" s="144" customFormat="1">
      <c r="B16" s="145">
        <v>5</v>
      </c>
      <c r="C16" s="146" t="str">
        <f t="shared" si="0"/>
        <v>Stadtwerke Northeim</v>
      </c>
      <c r="D16" s="63" t="s">
        <v>248</v>
      </c>
      <c r="E16" s="166" t="s">
        <v>668</v>
      </c>
      <c r="F16" s="308" t="str">
        <f>VLOOKUP($E16,'BDEW-Standard'!$B$3:$M$94,F$9,0)</f>
        <v>HA4</v>
      </c>
      <c r="H16" s="279">
        <f>ROUND(VLOOKUP($E16,'BDEW-Standard'!$B$3:$M$94,H$9,0),7)</f>
        <v>4.0196902000000003</v>
      </c>
      <c r="I16" s="279">
        <f>ROUND(VLOOKUP($E16,'BDEW-Standard'!$B$3:$M$94,I$9,0),7)</f>
        <v>-37.828203700000003</v>
      </c>
      <c r="J16" s="279">
        <f>ROUND(VLOOKUP($E16,'BDEW-Standard'!$B$3:$M$94,J$9,0),7)</f>
        <v>8.1593368999999996</v>
      </c>
      <c r="K16" s="279">
        <f>ROUND(VLOOKUP($E16,'BDEW-Standard'!$B$3:$M$94,K$9,0),7)</f>
        <v>4.72845E-2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0.86486713303260787</v>
      </c>
      <c r="R16" s="282">
        <f>ROUND(VLOOKUP(MID($E16,4,3),'Wochentag F(WT)'!$B$7:$J$22,R$9,0),4)</f>
        <v>1.0358000000000001</v>
      </c>
      <c r="S16" s="282">
        <f>ROUND(VLOOKUP(MID($E16,4,3),'Wochentag F(WT)'!$B$7:$J$22,S$9,0),4)</f>
        <v>1.0232000000000001</v>
      </c>
      <c r="T16" s="282">
        <f>ROUND(VLOOKUP(MID($E16,4,3),'Wochentag F(WT)'!$B$7:$J$22,T$9,0),4)</f>
        <v>1.0251999999999999</v>
      </c>
      <c r="U16" s="282">
        <f>ROUND(VLOOKUP(MID($E16,4,3),'Wochentag F(WT)'!$B$7:$J$22,U$9,0),4)</f>
        <v>1.0295000000000001</v>
      </c>
      <c r="V16" s="282">
        <f>ROUND(VLOOKUP(MID($E16,4,3),'Wochentag F(WT)'!$B$7:$J$22,V$9,0),4)</f>
        <v>1.0253000000000001</v>
      </c>
      <c r="W16" s="282">
        <f>ROUND(VLOOKUP(MID($E16,4,3),'Wochentag F(WT)'!$B$7:$J$22,W$9,0),4)</f>
        <v>0.96750000000000003</v>
      </c>
      <c r="X16" s="283">
        <f t="shared" si="2"/>
        <v>0.89350000000000041</v>
      </c>
      <c r="Y16" s="304"/>
      <c r="Z16" s="213"/>
    </row>
    <row r="17" spans="2:26" s="144" customFormat="1">
      <c r="B17" s="145">
        <v>6</v>
      </c>
      <c r="C17" s="146" t="str">
        <f t="shared" si="0"/>
        <v>Stadtwerke Northeim</v>
      </c>
      <c r="D17" s="63" t="s">
        <v>248</v>
      </c>
      <c r="E17" s="166" t="s">
        <v>669</v>
      </c>
      <c r="F17" s="308" t="str">
        <f>VLOOKUP($E17,'BDEW-Standard'!$B$3:$M$94,F$9,0)</f>
        <v>KO4</v>
      </c>
      <c r="H17" s="279">
        <f>ROUND(VLOOKUP($E17,'BDEW-Standard'!$B$3:$M$94,H$9,0),7)</f>
        <v>3.4428942999999999</v>
      </c>
      <c r="I17" s="279">
        <f>ROUND(VLOOKUP($E17,'BDEW-Standard'!$B$3:$M$94,I$9,0),7)</f>
        <v>-36.659050399999998</v>
      </c>
      <c r="J17" s="279">
        <f>ROUND(VLOOKUP($E17,'BDEW-Standard'!$B$3:$M$94,J$9,0),7)</f>
        <v>7.6083226000000002</v>
      </c>
      <c r="K17" s="279">
        <f>ROUND(VLOOKUP($E17,'BDEW-Standard'!$B$3:$M$94,K$9,0),7)</f>
        <v>7.4685000000000001E-2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0.97768382110526542</v>
      </c>
      <c r="R17" s="282">
        <f>ROUND(VLOOKUP(MID($E17,4,3),'Wochentag F(WT)'!$B$7:$J$22,R$9,0),4)</f>
        <v>1.0354000000000001</v>
      </c>
      <c r="S17" s="282">
        <f>ROUND(VLOOKUP(MID($E17,4,3),'Wochentag F(WT)'!$B$7:$J$22,S$9,0),4)</f>
        <v>1.0523</v>
      </c>
      <c r="T17" s="282">
        <f>ROUND(VLOOKUP(MID($E17,4,3),'Wochentag F(WT)'!$B$7:$J$22,T$9,0),4)</f>
        <v>1.0448999999999999</v>
      </c>
      <c r="U17" s="282">
        <f>ROUND(VLOOKUP(MID($E17,4,3),'Wochentag F(WT)'!$B$7:$J$22,U$9,0),4)</f>
        <v>1.0494000000000001</v>
      </c>
      <c r="V17" s="282">
        <f>ROUND(VLOOKUP(MID($E17,4,3),'Wochentag F(WT)'!$B$7:$J$22,V$9,0),4)</f>
        <v>0.98850000000000005</v>
      </c>
      <c r="W17" s="282">
        <f>ROUND(VLOOKUP(MID($E17,4,3),'Wochentag F(WT)'!$B$7:$J$22,W$9,0),4)</f>
        <v>0.88600000000000001</v>
      </c>
      <c r="X17" s="283">
        <f t="shared" si="2"/>
        <v>0.94349999999999934</v>
      </c>
      <c r="Y17" s="304"/>
      <c r="Z17" s="213"/>
    </row>
    <row r="18" spans="2:26" s="144" customFormat="1">
      <c r="B18" s="145">
        <v>7</v>
      </c>
      <c r="C18" s="146" t="str">
        <f t="shared" si="0"/>
        <v>Stadtwerke Northeim</v>
      </c>
      <c r="D18" s="63" t="s">
        <v>248</v>
      </c>
      <c r="E18" s="166" t="s">
        <v>670</v>
      </c>
      <c r="F18" s="308" t="str">
        <f>VLOOKUP($E18,'BDEW-Standard'!$B$3:$M$94,F$9,0)</f>
        <v>BD4</v>
      </c>
      <c r="H18" s="279">
        <f>ROUND(VLOOKUP($E18,'BDEW-Standard'!$B$3:$M$94,H$9,0),7)</f>
        <v>3.75</v>
      </c>
      <c r="I18" s="279">
        <f>ROUND(VLOOKUP($E18,'BDEW-Standard'!$B$3:$M$94,I$9,0),7)</f>
        <v>-37.5</v>
      </c>
      <c r="J18" s="279">
        <f>ROUND(VLOOKUP($E18,'BDEW-Standard'!$B$3:$M$94,J$9,0),7)</f>
        <v>6.8</v>
      </c>
      <c r="K18" s="279">
        <f>ROUND(VLOOKUP($E18,'BDEW-Standard'!$B$3:$M$94,K$9,0),7)</f>
        <v>6.0911300000000002E-2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1.0126136468627658</v>
      </c>
      <c r="R18" s="282">
        <f>ROUND(VLOOKUP(MID($E18,4,3),'Wochentag F(WT)'!$B$7:$J$22,R$9,0),4)</f>
        <v>1.1052</v>
      </c>
      <c r="S18" s="282">
        <f>ROUND(VLOOKUP(MID($E18,4,3),'Wochentag F(WT)'!$B$7:$J$22,S$9,0),4)</f>
        <v>1.0857000000000001</v>
      </c>
      <c r="T18" s="282">
        <f>ROUND(VLOOKUP(MID($E18,4,3),'Wochentag F(WT)'!$B$7:$J$22,T$9,0),4)</f>
        <v>1.0378000000000001</v>
      </c>
      <c r="U18" s="282">
        <f>ROUND(VLOOKUP(MID($E18,4,3),'Wochentag F(WT)'!$B$7:$J$22,U$9,0),4)</f>
        <v>1.0622</v>
      </c>
      <c r="V18" s="282">
        <f>ROUND(VLOOKUP(MID($E18,4,3),'Wochentag F(WT)'!$B$7:$J$22,V$9,0),4)</f>
        <v>1.0266</v>
      </c>
      <c r="W18" s="282">
        <f>ROUND(VLOOKUP(MID($E18,4,3),'Wochentag F(WT)'!$B$7:$J$22,W$9,0),4)</f>
        <v>0.76290000000000002</v>
      </c>
      <c r="X18" s="283">
        <f t="shared" si="2"/>
        <v>0.91959999999999997</v>
      </c>
      <c r="Y18" s="304"/>
      <c r="Z18" s="213"/>
    </row>
    <row r="19" spans="2:26" s="144" customFormat="1">
      <c r="B19" s="145">
        <v>8</v>
      </c>
      <c r="C19" s="146" t="str">
        <f t="shared" si="0"/>
        <v>Stadtwerke Northeim</v>
      </c>
      <c r="D19" s="63" t="s">
        <v>248</v>
      </c>
      <c r="E19" s="166" t="s">
        <v>671</v>
      </c>
      <c r="F19" s="308" t="str">
        <f>VLOOKUP($E19,'BDEW-Standard'!$B$3:$M$94,F$9,0)</f>
        <v>GA4</v>
      </c>
      <c r="H19" s="279">
        <f>ROUND(VLOOKUP($E19,'BDEW-Standard'!$B$3:$M$94,H$9,0),7)</f>
        <v>2.8195655999999998</v>
      </c>
      <c r="I19" s="279">
        <f>ROUND(VLOOKUP($E19,'BDEW-Standard'!$B$3:$M$94,I$9,0),7)</f>
        <v>-36</v>
      </c>
      <c r="J19" s="279">
        <f>ROUND(VLOOKUP($E19,'BDEW-Standard'!$B$3:$M$94,J$9,0),7)</f>
        <v>7.7368518000000002</v>
      </c>
      <c r="K19" s="279">
        <f>ROUND(VLOOKUP($E19,'BDEW-Standard'!$B$3:$M$94,K$9,0),7)</f>
        <v>0.157281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0.96576337685759206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>
      <c r="B20" s="145">
        <v>9</v>
      </c>
      <c r="C20" s="146" t="str">
        <f t="shared" si="0"/>
        <v>Stadtwerke Northeim</v>
      </c>
      <c r="D20" s="63" t="s">
        <v>248</v>
      </c>
      <c r="E20" s="166" t="s">
        <v>672</v>
      </c>
      <c r="F20" s="308" t="str">
        <f>VLOOKUP($E20,'BDEW-Standard'!$B$3:$M$94,F$9,0)</f>
        <v>BH4</v>
      </c>
      <c r="H20" s="279">
        <f>ROUND(VLOOKUP($E20,'BDEW-Standard'!$B$3:$M$94,H$9,0),7)</f>
        <v>2.4595180999999999</v>
      </c>
      <c r="I20" s="279">
        <f>ROUND(VLOOKUP($E20,'BDEW-Standard'!$B$3:$M$94,I$9,0),7)</f>
        <v>-35.253212400000002</v>
      </c>
      <c r="J20" s="279">
        <f>ROUND(VLOOKUP($E20,'BDEW-Standard'!$B$3:$M$94,J$9,0),7)</f>
        <v>6.0587001000000003</v>
      </c>
      <c r="K20" s="279">
        <f>ROUND(VLOOKUP($E20,'BDEW-Standard'!$B$3:$M$94,K$9,0),7)</f>
        <v>0.16473699999999999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1.043802057143173</v>
      </c>
      <c r="R20" s="282">
        <f>ROUND(VLOOKUP(MID($E20,4,3),'Wochentag F(WT)'!$B$7:$J$22,R$9,0),4)</f>
        <v>0.97670000000000001</v>
      </c>
      <c r="S20" s="282">
        <f>ROUND(VLOOKUP(MID($E20,4,3),'Wochentag F(WT)'!$B$7:$J$22,S$9,0),4)</f>
        <v>1.0388999999999999</v>
      </c>
      <c r="T20" s="282">
        <f>ROUND(VLOOKUP(MID($E20,4,3),'Wochentag F(WT)'!$B$7:$J$22,T$9,0),4)</f>
        <v>1.0027999999999999</v>
      </c>
      <c r="U20" s="282">
        <f>ROUND(VLOOKUP(MID($E20,4,3),'Wochentag F(WT)'!$B$7:$J$22,U$9,0),4)</f>
        <v>1.0162</v>
      </c>
      <c r="V20" s="282">
        <f>ROUND(VLOOKUP(MID($E20,4,3),'Wochentag F(WT)'!$B$7:$J$22,V$9,0),4)</f>
        <v>1.0024</v>
      </c>
      <c r="W20" s="282">
        <f>ROUND(VLOOKUP(MID($E20,4,3),'Wochentag F(WT)'!$B$7:$J$22,W$9,0),4)</f>
        <v>1.0043</v>
      </c>
      <c r="X20" s="283">
        <f t="shared" si="2"/>
        <v>0.95870000000000122</v>
      </c>
      <c r="Y20" s="304"/>
      <c r="Z20" s="213"/>
    </row>
    <row r="21" spans="2:26" s="144" customFormat="1">
      <c r="B21" s="145">
        <v>10</v>
      </c>
      <c r="C21" s="146" t="str">
        <f t="shared" si="0"/>
        <v>Stadtwerke Northeim</v>
      </c>
      <c r="D21" s="63" t="s">
        <v>248</v>
      </c>
      <c r="E21" s="166" t="s">
        <v>673</v>
      </c>
      <c r="F21" s="308" t="str">
        <f>VLOOKUP($E21,'BDEW-Standard'!$B$3:$M$94,F$9,0)</f>
        <v>WA4</v>
      </c>
      <c r="H21" s="279">
        <f>ROUND(VLOOKUP($E21,'BDEW-Standard'!$B$3:$M$94,H$9,0),7)</f>
        <v>1.0535874999999999</v>
      </c>
      <c r="I21" s="279">
        <f>ROUND(VLOOKUP($E21,'BDEW-Standard'!$B$3:$M$94,I$9,0),7)</f>
        <v>-35.299999999999997</v>
      </c>
      <c r="J21" s="279">
        <f>ROUND(VLOOKUP($E21,'BDEW-Standard'!$B$3:$M$94,J$9,0),7)</f>
        <v>4.8662747</v>
      </c>
      <c r="K21" s="279">
        <f>ROUND(VLOOKUP($E21,'BDEW-Standard'!$B$3:$M$94,K$9,0),7)</f>
        <v>0.68110420000000005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1.0844348950990992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Stadtwerke Northeim</v>
      </c>
      <c r="D22" s="63" t="s">
        <v>248</v>
      </c>
      <c r="E22" s="166" t="s">
        <v>674</v>
      </c>
      <c r="F22" s="308" t="str">
        <f>VLOOKUP($E22,'BDEW-Standard'!$B$3:$M$94,F$9,0)</f>
        <v>GB4</v>
      </c>
      <c r="H22" s="279">
        <f>ROUND(VLOOKUP($E22,'BDEW-Standard'!$B$3:$M$94,H$9,0),7)</f>
        <v>3.6017736</v>
      </c>
      <c r="I22" s="279">
        <f>ROUND(VLOOKUP($E22,'BDEW-Standard'!$B$3:$M$94,I$9,0),7)</f>
        <v>-37.882536799999997</v>
      </c>
      <c r="J22" s="279">
        <f>ROUND(VLOOKUP($E22,'BDEW-Standard'!$B$3:$M$94,J$9,0),7)</f>
        <v>6.9836070000000001</v>
      </c>
      <c r="K22" s="279">
        <f>ROUND(VLOOKUP($E22,'BDEW-Standard'!$B$3:$M$94,K$9,0),7)</f>
        <v>5.4826199999999999E-2</v>
      </c>
      <c r="L22" s="280">
        <f>ROUND(VLOOKUP($E22,'BDEW-Standard'!$B$3:$M$94,L$9,0),1)</f>
        <v>40</v>
      </c>
      <c r="M22" s="279">
        <f>ROUND(VLOOKUP($E22,'BDEW-Standard'!$B$3:$M$94,M$9,0),7)</f>
        <v>0</v>
      </c>
      <c r="N22" s="279">
        <f>ROUND(VLOOKUP($E22,'BDEW-Standard'!$B$3:$M$94,N$9,0),7)</f>
        <v>0</v>
      </c>
      <c r="O22" s="279">
        <f>ROUND(VLOOKUP($E22,'BDEW-Standard'!$B$3:$M$94,O$9,0),7)</f>
        <v>0</v>
      </c>
      <c r="P22" s="279">
        <f>ROUND(VLOOKUP($E22,'BDEW-Standard'!$B$3:$M$94,P$9,0),7)</f>
        <v>0</v>
      </c>
      <c r="Q22" s="281">
        <f t="shared" si="1"/>
        <v>0.90239375975311864</v>
      </c>
      <c r="R22" s="282">
        <f>ROUND(VLOOKUP(MID($E22,4,3),'Wochentag F(WT)'!$B$7:$J$22,R$9,0),4)</f>
        <v>0.98970000000000002</v>
      </c>
      <c r="S22" s="282">
        <f>ROUND(VLOOKUP(MID($E22,4,3),'Wochentag F(WT)'!$B$7:$J$22,S$9,0),4)</f>
        <v>0.9627</v>
      </c>
      <c r="T22" s="282">
        <f>ROUND(VLOOKUP(MID($E22,4,3),'Wochentag F(WT)'!$B$7:$J$22,T$9,0),4)</f>
        <v>1.0507</v>
      </c>
      <c r="U22" s="282">
        <f>ROUND(VLOOKUP(MID($E22,4,3),'Wochentag F(WT)'!$B$7:$J$22,U$9,0),4)</f>
        <v>1.0551999999999999</v>
      </c>
      <c r="V22" s="282">
        <f>ROUND(VLOOKUP(MID($E22,4,3),'Wochentag F(WT)'!$B$7:$J$22,V$9,0),4)</f>
        <v>1.0297000000000001</v>
      </c>
      <c r="W22" s="282">
        <f>ROUND(VLOOKUP(MID($E22,4,3),'Wochentag F(WT)'!$B$7:$J$22,W$9,0),4)</f>
        <v>0.97670000000000001</v>
      </c>
      <c r="X22" s="283">
        <f t="shared" si="2"/>
        <v>0.9352999999999998</v>
      </c>
      <c r="Y22" s="304"/>
      <c r="Z22" s="213"/>
    </row>
    <row r="23" spans="2:26" s="144" customFormat="1">
      <c r="B23" s="145">
        <v>12</v>
      </c>
      <c r="C23" s="146" t="str">
        <f t="shared" si="0"/>
        <v>Stadtwerke Northeim</v>
      </c>
      <c r="D23" s="63" t="s">
        <v>248</v>
      </c>
      <c r="E23" s="166" t="s">
        <v>675</v>
      </c>
      <c r="F23" s="308" t="str">
        <f>VLOOKUP($E23,'BDEW-Standard'!$B$3:$M$94,F$9,0)</f>
        <v>BA4</v>
      </c>
      <c r="H23" s="279">
        <f>ROUND(VLOOKUP($E23,'BDEW-Standard'!$B$3:$M$94,H$9,0),7)</f>
        <v>0.93158890000000005</v>
      </c>
      <c r="I23" s="279">
        <f>ROUND(VLOOKUP($E23,'BDEW-Standard'!$B$3:$M$94,I$9,0),7)</f>
        <v>-33.35</v>
      </c>
      <c r="J23" s="279">
        <f>ROUND(VLOOKUP($E23,'BDEW-Standard'!$B$3:$M$94,J$9,0),7)</f>
        <v>5.7212303000000002</v>
      </c>
      <c r="K23" s="279">
        <f>ROUND(VLOOKUP($E23,'BDEW-Standard'!$B$3:$M$94,K$9,0),7)</f>
        <v>0.66564939999999995</v>
      </c>
      <c r="L23" s="280">
        <f>ROUND(VLOOKUP($E23,'BDEW-Standard'!$B$3:$M$94,L$9,0),1)</f>
        <v>40</v>
      </c>
      <c r="M23" s="279">
        <f>ROUND(VLOOKUP($E23,'BDEW-Standard'!$B$3:$M$94,M$9,0),7)</f>
        <v>0</v>
      </c>
      <c r="N23" s="279">
        <f>ROUND(VLOOKUP($E23,'BDEW-Standard'!$B$3:$M$94,N$9,0),7)</f>
        <v>0</v>
      </c>
      <c r="O23" s="279">
        <f>ROUND(VLOOKUP($E23,'BDEW-Standard'!$B$3:$M$94,O$9,0),7)</f>
        <v>0</v>
      </c>
      <c r="P23" s="279">
        <f>ROUND(VLOOKUP($E23,'BDEW-Standard'!$B$3:$M$94,P$9,0),7)</f>
        <v>0</v>
      </c>
      <c r="Q23" s="281">
        <f t="shared" si="1"/>
        <v>1.0766391850538448</v>
      </c>
      <c r="R23" s="282">
        <f>ROUND(VLOOKUP(MID($E23,4,3),'Wochentag F(WT)'!$B$7:$J$22,R$9,0),4)</f>
        <v>1.0848</v>
      </c>
      <c r="S23" s="282">
        <f>ROUND(VLOOKUP(MID($E23,4,3),'Wochentag F(WT)'!$B$7:$J$22,S$9,0),4)</f>
        <v>1.1211</v>
      </c>
      <c r="T23" s="282">
        <f>ROUND(VLOOKUP(MID($E23,4,3),'Wochentag F(WT)'!$B$7:$J$22,T$9,0),4)</f>
        <v>1.0769</v>
      </c>
      <c r="U23" s="282">
        <f>ROUND(VLOOKUP(MID($E23,4,3),'Wochentag F(WT)'!$B$7:$J$22,U$9,0),4)</f>
        <v>1.1353</v>
      </c>
      <c r="V23" s="282">
        <f>ROUND(VLOOKUP(MID($E23,4,3),'Wochentag F(WT)'!$B$7:$J$22,V$9,0),4)</f>
        <v>1.1402000000000001</v>
      </c>
      <c r="W23" s="282">
        <f>ROUND(VLOOKUP(MID($E23,4,3),'Wochentag F(WT)'!$B$7:$J$22,W$9,0),4)</f>
        <v>0.48520000000000002</v>
      </c>
      <c r="X23" s="283">
        <f t="shared" si="2"/>
        <v>0.95650000000000013</v>
      </c>
      <c r="Y23" s="304"/>
      <c r="Z23" s="213"/>
    </row>
    <row r="24" spans="2:26" s="144" customFormat="1">
      <c r="B24" s="145">
        <v>13</v>
      </c>
      <c r="C24" s="146" t="str">
        <f t="shared" si="0"/>
        <v>Stadtwerke Northeim</v>
      </c>
      <c r="D24" s="63" t="s">
        <v>248</v>
      </c>
      <c r="E24" s="166" t="s">
        <v>676</v>
      </c>
      <c r="F24" s="308" t="str">
        <f>VLOOKUP($E24,'BDEW-Standard'!$B$3:$M$94,F$9,0)</f>
        <v>PD4</v>
      </c>
      <c r="H24" s="279">
        <f>ROUND(VLOOKUP($E24,'BDEW-Standard'!$B$3:$M$94,H$9,0),7)</f>
        <v>3.85</v>
      </c>
      <c r="I24" s="279">
        <f>ROUND(VLOOKUP($E24,'BDEW-Standard'!$B$3:$M$94,I$9,0),7)</f>
        <v>-37</v>
      </c>
      <c r="J24" s="279">
        <f>ROUND(VLOOKUP($E24,'BDEW-Standard'!$B$3:$M$94,J$9,0),7)</f>
        <v>10.2405021</v>
      </c>
      <c r="K24" s="279">
        <f>ROUND(VLOOKUP($E24,'BDEW-Standard'!$B$3:$M$94,K$9,0),7)</f>
        <v>4.6924300000000002E-2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0.75691065279879233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>
      <c r="B25" s="145">
        <v>14</v>
      </c>
      <c r="C25" s="146" t="str">
        <f t="shared" si="0"/>
        <v>Stadtwerke Northeim</v>
      </c>
      <c r="D25" s="63" t="s">
        <v>248</v>
      </c>
      <c r="E25" s="166" t="s">
        <v>677</v>
      </c>
      <c r="F25" s="308" t="str">
        <f>VLOOKUP($E25,'BDEW-Standard'!$B$3:$M$94,F$9,0)</f>
        <v>MF4</v>
      </c>
      <c r="H25" s="279">
        <f>ROUND(VLOOKUP($E25,'BDEW-Standard'!$B$3:$M$94,H$9,0),7)</f>
        <v>2.5187775000000001</v>
      </c>
      <c r="I25" s="279">
        <f>ROUND(VLOOKUP($E25,'BDEW-Standard'!$B$3:$M$94,I$9,0),7)</f>
        <v>-35.033375399999997</v>
      </c>
      <c r="J25" s="279">
        <f>ROUND(VLOOKUP($E25,'BDEW-Standard'!$B$3:$M$94,J$9,0),7)</f>
        <v>6.2240634000000004</v>
      </c>
      <c r="K25" s="279">
        <f>ROUND(VLOOKUP($E25,'BDEW-Standard'!$B$3:$M$94,K$9,0),7)</f>
        <v>0.10107820000000001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1.0146273685996503</v>
      </c>
      <c r="R25" s="282">
        <f>ROUND(VLOOKUP(MID($E25,4,3),'Wochentag F(WT)'!$B$7:$J$22,R$9,0),4)</f>
        <v>1.0354000000000001</v>
      </c>
      <c r="S25" s="282">
        <f>ROUND(VLOOKUP(MID($E25,4,3),'Wochentag F(WT)'!$B$7:$J$22,S$9,0),4)</f>
        <v>1.0523</v>
      </c>
      <c r="T25" s="282">
        <f>ROUND(VLOOKUP(MID($E25,4,3),'Wochentag F(WT)'!$B$7:$J$22,T$9,0),4)</f>
        <v>1.0448999999999999</v>
      </c>
      <c r="U25" s="282">
        <f>ROUND(VLOOKUP(MID($E25,4,3),'Wochentag F(WT)'!$B$7:$J$22,U$9,0),4)</f>
        <v>1.0494000000000001</v>
      </c>
      <c r="V25" s="282">
        <f>ROUND(VLOOKUP(MID($E25,4,3),'Wochentag F(WT)'!$B$7:$J$22,V$9,0),4)</f>
        <v>0.98850000000000005</v>
      </c>
      <c r="W25" s="282">
        <f>ROUND(VLOOKUP(MID($E25,4,3),'Wochentag F(WT)'!$B$7:$J$22,W$9,0),4)</f>
        <v>0.88600000000000001</v>
      </c>
      <c r="X25" s="283">
        <f t="shared" si="2"/>
        <v>0.94349999999999934</v>
      </c>
      <c r="Y25" s="304"/>
      <c r="Z25" s="213"/>
    </row>
    <row r="26" spans="2:26" s="144" customFormat="1">
      <c r="B26" s="145">
        <v>15</v>
      </c>
      <c r="C26" s="146" t="str">
        <f t="shared" si="0"/>
        <v>Stadtwerke Northeim</v>
      </c>
      <c r="D26" s="63" t="s">
        <v>248</v>
      </c>
      <c r="E26" s="166" t="s">
        <v>678</v>
      </c>
      <c r="F26" s="308" t="str">
        <f>VLOOKUP($E26,'BDEW-Standard'!$B$3:$M$94,F$9,0)</f>
        <v>HD4</v>
      </c>
      <c r="H26" s="279">
        <f>ROUND(VLOOKUP($E26,'BDEW-Standard'!$B$3:$M$94,H$9,0),7)</f>
        <v>3.0084346000000002</v>
      </c>
      <c r="I26" s="279">
        <f>ROUND(VLOOKUP($E26,'BDEW-Standard'!$B$3:$M$94,I$9,0),7)</f>
        <v>-36.607845300000001</v>
      </c>
      <c r="J26" s="279">
        <f>ROUND(VLOOKUP($E26,'BDEW-Standard'!$B$3:$M$94,J$9,0),7)</f>
        <v>7.3211870000000001</v>
      </c>
      <c r="K26" s="279">
        <f>ROUND(VLOOKUP($E26,'BDEW-Standard'!$B$3:$M$94,K$9,0),7)</f>
        <v>0.15496599999999999</v>
      </c>
      <c r="L26" s="280">
        <f>ROUND(VLOOKUP($E26,'BDEW-Standard'!$B$3:$M$94,L$9,0),1)</f>
        <v>40</v>
      </c>
      <c r="M26" s="279">
        <f>ROUND(VLOOKUP($E26,'BDEW-Standard'!$B$3:$M$94,M$9,0),7)</f>
        <v>0</v>
      </c>
      <c r="N26" s="279">
        <f>ROUND(VLOOKUP($E26,'BDEW-Standard'!$B$3:$M$94,N$9,0),7)</f>
        <v>0</v>
      </c>
      <c r="O26" s="279">
        <f>ROUND(VLOOKUP($E26,'BDEW-Standard'!$B$3:$M$94,O$9,0),7)</f>
        <v>0</v>
      </c>
      <c r="P26" s="279">
        <f>ROUND(VLOOKUP($E26,'BDEW-Standard'!$B$3:$M$94,P$9,0),7)</f>
        <v>0</v>
      </c>
      <c r="Q26" s="281">
        <f t="shared" si="1"/>
        <v>0.97302438504000599</v>
      </c>
      <c r="R26" s="282">
        <f>ROUND(VLOOKUP(MID($E26,4,3),'Wochentag F(WT)'!$B$7:$J$22,R$9,0),4)</f>
        <v>1.03</v>
      </c>
      <c r="S26" s="282">
        <f>ROUND(VLOOKUP(MID($E26,4,3),'Wochentag F(WT)'!$B$7:$J$22,S$9,0),4)</f>
        <v>1.03</v>
      </c>
      <c r="T26" s="282">
        <f>ROUND(VLOOKUP(MID($E26,4,3),'Wochentag F(WT)'!$B$7:$J$22,T$9,0),4)</f>
        <v>1.02</v>
      </c>
      <c r="U26" s="282">
        <f>ROUND(VLOOKUP(MID($E26,4,3),'Wochentag F(WT)'!$B$7:$J$22,U$9,0),4)</f>
        <v>1.03</v>
      </c>
      <c r="V26" s="282">
        <f>ROUND(VLOOKUP(MID($E26,4,3),'Wochentag F(WT)'!$B$7:$J$22,V$9,0),4)</f>
        <v>1.01</v>
      </c>
      <c r="W26" s="282">
        <f>ROUND(VLOOKUP(MID($E26,4,3),'Wochentag F(WT)'!$B$7:$J$22,W$9,0),4)</f>
        <v>0.93</v>
      </c>
      <c r="X26" s="283">
        <f t="shared" si="2"/>
        <v>0.95000000000000018</v>
      </c>
      <c r="Y26" s="304"/>
      <c r="Z26" s="213"/>
    </row>
    <row r="27" spans="2:26" s="144" customFormat="1">
      <c r="B27" s="145">
        <v>16</v>
      </c>
      <c r="C27" s="146" t="str">
        <f t="shared" si="0"/>
        <v>Stadtwerke Northeim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Stadtwerke Northeim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Stadtwerke Northeim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Stadtwerke Northeim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Stadtwerke Northeim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Stadtwerke Northeim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Stadtwerke Northeim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Stadtwerke Northeim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Stadtwerke Northeim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Stadtwerke Northeim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Stadtwerke Northeim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Stadtwerke Northeim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Stadtwerke Northeim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Stadtwerke Northeim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Stadtwerke Northeim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19" priority="9">
      <formula>ISERROR(F11)</formula>
    </cfRule>
  </conditionalFormatting>
  <conditionalFormatting sqref="Y12:Y41 E12:F41">
    <cfRule type="duplicateValues" dxfId="18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544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K25" sqref="K2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SWN Stadtwerke Northeim GmbH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Stadtwerke Northeim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9870036400008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5" t="s">
        <v>455</v>
      </c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7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0" t="s">
        <v>582</v>
      </c>
      <c r="C10" s="361"/>
      <c r="D10" s="95">
        <v>2</v>
      </c>
      <c r="E10" s="96" t="str">
        <f>IF(ISERROR(HLOOKUP(E$11,$M$9:$AD$35,$D10,0)),"",HLOOKUP(E$11,$M$9:$AD$35,$D10,0))</f>
        <v/>
      </c>
      <c r="F10" s="358" t="s">
        <v>395</v>
      </c>
      <c r="G10" s="358"/>
      <c r="H10" s="358"/>
      <c r="I10" s="358"/>
      <c r="J10" s="358"/>
      <c r="K10" s="358"/>
      <c r="L10" s="359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1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5">
        <f>MIN(SUMPRODUCT($M$11:$AD$11,M12:AD12),1)</f>
        <v>1</v>
      </c>
      <c r="F12" s="312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6">
        <f t="shared" si="0"/>
        <v>0</v>
      </c>
      <c r="F14" s="313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6">
        <f t="shared" si="0"/>
        <v>0</v>
      </c>
      <c r="F15" s="313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6">
        <f t="shared" si="0"/>
        <v>1</v>
      </c>
      <c r="F16" s="313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6">
        <f t="shared" si="0"/>
        <v>1</v>
      </c>
      <c r="F17" s="313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6">
        <f t="shared" si="0"/>
        <v>1</v>
      </c>
      <c r="F18" s="313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650</v>
      </c>
      <c r="C19" s="341"/>
      <c r="D19" s="112"/>
      <c r="E19" s="316">
        <v>1</v>
      </c>
      <c r="F19" s="313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6">
        <f t="shared" si="0"/>
        <v>1</v>
      </c>
      <c r="F20" s="313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648</v>
      </c>
      <c r="C21" s="118"/>
      <c r="D21" s="112">
        <v>12</v>
      </c>
      <c r="E21" s="316">
        <f t="shared" si="0"/>
        <v>1</v>
      </c>
      <c r="F21" s="313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6">
        <f t="shared" si="0"/>
        <v>1</v>
      </c>
      <c r="F22" s="313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6">
        <f t="shared" si="0"/>
        <v>1</v>
      </c>
      <c r="F23" s="313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6">
        <f t="shared" si="0"/>
        <v>0</v>
      </c>
      <c r="F24" s="313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402</v>
      </c>
      <c r="C25" s="118"/>
      <c r="D25" s="112">
        <v>16</v>
      </c>
      <c r="E25" s="316">
        <f t="shared" si="0"/>
        <v>0</v>
      </c>
      <c r="F25" s="313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6">
        <f t="shared" si="0"/>
        <v>0</v>
      </c>
      <c r="F26" s="313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649</v>
      </c>
      <c r="C27" s="341"/>
      <c r="D27" s="112"/>
      <c r="E27" s="316">
        <v>1</v>
      </c>
      <c r="F27" s="313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6">
        <f t="shared" si="0"/>
        <v>1</v>
      </c>
      <c r="F28" s="313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405</v>
      </c>
      <c r="C29" s="341"/>
      <c r="D29" s="342">
        <v>19</v>
      </c>
      <c r="E29" s="343">
        <v>1</v>
      </c>
      <c r="F29" s="313" t="s">
        <v>392</v>
      </c>
      <c r="G29" s="313" t="s">
        <v>392</v>
      </c>
      <c r="H29" s="313" t="s">
        <v>392</v>
      </c>
      <c r="I29" s="313" t="s">
        <v>392</v>
      </c>
      <c r="J29" s="313" t="s">
        <v>392</v>
      </c>
      <c r="K29" s="313" t="s">
        <v>392</v>
      </c>
      <c r="L29" s="313" t="s">
        <v>392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406</v>
      </c>
      <c r="C30" s="118"/>
      <c r="D30" s="112">
        <v>20</v>
      </c>
      <c r="E30" s="316">
        <f t="shared" si="0"/>
        <v>0</v>
      </c>
      <c r="F30" s="313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407</v>
      </c>
      <c r="C31" s="118"/>
      <c r="D31" s="112">
        <v>21</v>
      </c>
      <c r="E31" s="316">
        <f t="shared" si="0"/>
        <v>0</v>
      </c>
      <c r="F31" s="313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6">
        <f t="shared" si="0"/>
        <v>0</v>
      </c>
      <c r="F32" s="313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6">
        <f t="shared" si="0"/>
        <v>1</v>
      </c>
      <c r="F33" s="313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6">
        <f t="shared" si="0"/>
        <v>1</v>
      </c>
      <c r="F34" s="313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7">
        <f t="shared" si="0"/>
        <v>0</v>
      </c>
      <c r="F35" s="314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4" priority="9">
      <formula>IF(E$11="NB",1,0)</formula>
    </cfRule>
  </conditionalFormatting>
  <conditionalFormatting sqref="F12:L26 F28:L35">
    <cfRule type="expression" dxfId="13" priority="6">
      <formula>IF($E12=1,1,0)</formula>
    </cfRule>
  </conditionalFormatting>
  <conditionalFormatting sqref="M12:AD35">
    <cfRule type="expression" dxfId="12" priority="3">
      <formula>IF(M$11=1,1)</formula>
    </cfRule>
  </conditionalFormatting>
  <conditionalFormatting sqref="M9:AD10">
    <cfRule type="expression" dxfId="11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544</v>
      </c>
    </row>
    <row r="2" spans="1:16">
      <c r="A2" s="238"/>
      <c r="B2" s="237" t="s">
        <v>453</v>
      </c>
    </row>
    <row r="3" spans="1:16" ht="20.100000000000001" customHeight="1">
      <c r="A3" s="362" t="s">
        <v>249</v>
      </c>
      <c r="B3" s="239" t="s">
        <v>86</v>
      </c>
      <c r="C3" s="240"/>
      <c r="D3" s="364" t="s">
        <v>454</v>
      </c>
      <c r="E3" s="365"/>
      <c r="F3" s="365"/>
      <c r="G3" s="365"/>
      <c r="H3" s="365"/>
      <c r="I3" s="365"/>
      <c r="J3" s="366"/>
      <c r="K3" s="241"/>
      <c r="L3" s="241"/>
      <c r="M3" s="241"/>
      <c r="N3" s="241"/>
      <c r="O3" s="242"/>
      <c r="P3" s="241"/>
    </row>
    <row r="4" spans="1:16" ht="20.100000000000001" customHeight="1">
      <c r="A4" s="363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0" priority="2" stopIfTrue="1" operator="equal">
      <formula>$M7</formula>
    </cfRule>
  </conditionalFormatting>
  <conditionalFormatting sqref="D9:J9">
    <cfRule type="cellIs" dxfId="9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Jens Junker</cp:lastModifiedBy>
  <cp:lastPrinted>2015-03-20T22:59:10Z</cp:lastPrinted>
  <dcterms:created xsi:type="dcterms:W3CDTF">2015-01-15T05:25:41Z</dcterms:created>
  <dcterms:modified xsi:type="dcterms:W3CDTF">2021-11-10T15:20:15Z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